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W:\Railroad Financial Conferences Reports to Commissioners\Q2 2018\"/>
    </mc:Choice>
  </mc:AlternateContent>
  <xr:revisionPtr revIDLastSave="0" documentId="13_ncr:1_{833F5554-D137-471A-B5E7-426FB17789F7}" xr6:coauthVersionLast="34" xr6:coauthVersionMax="34" xr10:uidLastSave="{00000000-0000-0000-0000-000000000000}"/>
  <bookViews>
    <workbookView xWindow="13815" yWindow="150" windowWidth="14985" windowHeight="12045" tabRatio="428" activeTab="1" xr2:uid="{00000000-000D-0000-FFFF-FFFF00000000}"/>
  </bookViews>
  <sheets>
    <sheet name="INPUT" sheetId="6" r:id="rId1"/>
    <sheet name="Output" sheetId="1" r:id="rId2"/>
  </sheet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<sst xmlns="http://schemas.openxmlformats.org/spreadsheetml/2006/main" count="84" uniqueCount="48">
  <si>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</si>
  <si>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</si>
  <si>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</si>
  <si>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</si>
  <si>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</si>
  <si>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</si>
  <si>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</si>
  <si>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</si>
  <si>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</si>
  <si>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</si>
  <si>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</si>
  <si>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</si>
  <si>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</si>
  <si>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</si>
  <si>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</si>
  <si>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</si>
  <si>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</si>
  <si>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</si>
  <si>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</si>
  <si>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</si>
  <si>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</si>
  <si>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</si>
  <si>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</si>
  <si>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</si>
  <si>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</si>
  <si>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</si>
  <si>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</si>
  <si>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</si>
  <si>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</si>
  <si>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</si>
  <si>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</si>
  <si>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</si>
  <si>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</si>
  <si>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</si>
  <si>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</si>
  <si>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</si>
  <si>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</si>
  <si>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</si>
  <si>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</si>
  <si>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</si>
  <si>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</si>
  <si>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</si>
  <si>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</si>
  <si>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</si>
  <si>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</si>
  <si>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</si>
  <si>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June 30, 2018.</t>
  </si>
  <si>
    <t>CSX Transportation Inc.'s quarter ended on June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</si>
</sst>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zoomScale="85" zoomScaleNormal="85" workbookViewId="0">
      <selection activeCell="AL25" sqref="AL25"/>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39</v>
      </c>
      <c r="B1" s="10"/>
      <c r="C1" s="43" t="s">
        <v>46</v>
      </c>
      <c r="D1" s="43"/>
      <c r="E1" s="43"/>
      <c r="F1" s="43"/>
      <c r="G1" s="10"/>
    </row>
    <row r="2" spans="1:36" ht="30" customHeight="1" x14ac:dyDescent="0.2">
      <c r="A2" s="27" t="s">
        <v>29</v>
      </c>
      <c r="B2" s="10"/>
      <c r="C2" s="43" t="s">
        <v>47</v>
      </c>
      <c r="D2" s="43"/>
      <c r="E2" s="43"/>
      <c r="F2" s="43"/>
      <c r="G2" s="10"/>
    </row>
    <row r="3" spans="1:36" x14ac:dyDescent="0.2">
      <c r="A3" s="24">
        <v>2018</v>
      </c>
    </row>
    <row r="4" spans="1:36" ht="12" thickBot="1" x14ac:dyDescent="0.25">
      <c r="A4" s="36">
        <f>A3-1</f>
        <v>2017</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32" customFormat="1" x14ac:dyDescent="0.2">
      <c r="A19" s="28" t="s">
        <v>29</v>
      </c>
      <c r="B19" s="29">
        <v>587802</v>
      </c>
      <c r="C19" s="30">
        <v>342098</v>
      </c>
      <c r="D19" s="30">
        <v>-26766</v>
      </c>
      <c r="E19" s="30">
        <v>201065</v>
      </c>
      <c r="F19" s="31">
        <v>112</v>
      </c>
      <c r="G19" s="29">
        <v>194351</v>
      </c>
      <c r="H19" s="30">
        <v>113486</v>
      </c>
      <c r="I19" s="30">
        <v>-19017</v>
      </c>
      <c r="J19" s="30">
        <v>87674</v>
      </c>
      <c r="K19" s="31">
        <v>237</v>
      </c>
      <c r="L19" s="29">
        <v>63874</v>
      </c>
      <c r="M19" s="30">
        <v>36804</v>
      </c>
      <c r="N19" s="30">
        <v>2874</v>
      </c>
      <c r="O19" s="30">
        <v>15497</v>
      </c>
      <c r="P19" s="31">
        <v>778</v>
      </c>
      <c r="Q19" s="29">
        <v>30216</v>
      </c>
      <c r="R19" s="30">
        <v>18143</v>
      </c>
      <c r="S19" s="30">
        <v>672</v>
      </c>
      <c r="T19" s="30">
        <v>13272</v>
      </c>
      <c r="U19" s="31">
        <v>4299</v>
      </c>
      <c r="V19" s="29">
        <v>194812</v>
      </c>
      <c r="W19" s="30">
        <v>118213</v>
      </c>
      <c r="X19" s="30">
        <v>-21873</v>
      </c>
      <c r="Y19" s="30">
        <v>85041</v>
      </c>
      <c r="Z19" s="31">
        <v>138</v>
      </c>
      <c r="AA19" s="29">
        <v>28226</v>
      </c>
      <c r="AB19" s="30">
        <v>16558.312000000002</v>
      </c>
      <c r="AC19" s="30">
        <v>-481</v>
      </c>
      <c r="AD19" s="30">
        <v>6110.69812</v>
      </c>
      <c r="AE19" s="31">
        <v>1633.26424</v>
      </c>
      <c r="AF19" s="29">
        <v>433778</v>
      </c>
      <c r="AG19" s="30">
        <v>257102</v>
      </c>
      <c r="AH19" s="30">
        <v>-26402</v>
      </c>
      <c r="AI19" s="30">
        <v>223893</v>
      </c>
      <c r="AJ19" s="31">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10" customFormat="1" x14ac:dyDescent="0.2">
      <c r="A21" s="9" t="s">
        <v>30</v>
      </c>
      <c r="B21" s="18">
        <v>752422</v>
      </c>
      <c r="C21" s="16">
        <v>372675</v>
      </c>
      <c r="D21" s="16">
        <v>146518</v>
      </c>
      <c r="E21" s="16">
        <v>258667</v>
      </c>
      <c r="F21" s="20">
        <v>196</v>
      </c>
      <c r="G21" s="18">
        <v>238406</v>
      </c>
      <c r="H21" s="16">
        <v>114797</v>
      </c>
      <c r="I21" s="16">
        <v>36625</v>
      </c>
      <c r="J21" s="16">
        <v>111095</v>
      </c>
      <c r="K21" s="20">
        <v>366</v>
      </c>
      <c r="L21" s="18">
        <v>79807</v>
      </c>
      <c r="M21" s="16">
        <v>38671</v>
      </c>
      <c r="N21" s="16">
        <v>16092</v>
      </c>
      <c r="O21" s="16">
        <v>20343</v>
      </c>
      <c r="P21" s="20">
        <v>1275</v>
      </c>
      <c r="Q21" s="18">
        <v>33966</v>
      </c>
      <c r="R21" s="16">
        <v>17283</v>
      </c>
      <c r="S21" s="16">
        <v>3954</v>
      </c>
      <c r="T21" s="16">
        <v>15878</v>
      </c>
      <c r="U21" s="20">
        <v>4631</v>
      </c>
      <c r="V21" s="18">
        <v>243195</v>
      </c>
      <c r="W21" s="16">
        <v>122768</v>
      </c>
      <c r="X21" s="16">
        <v>40480</v>
      </c>
      <c r="Y21" s="16">
        <v>110214</v>
      </c>
      <c r="Z21" s="20">
        <v>162</v>
      </c>
      <c r="AA21" s="18">
        <v>36893</v>
      </c>
      <c r="AB21" s="16">
        <v>17449</v>
      </c>
      <c r="AC21" s="16">
        <v>9375</v>
      </c>
      <c r="AD21" s="16">
        <v>13559</v>
      </c>
      <c r="AE21" s="20">
        <v>5089</v>
      </c>
      <c r="AF21" s="18">
        <v>546967</v>
      </c>
      <c r="AG21" s="16">
        <v>270656</v>
      </c>
      <c r="AH21" s="16">
        <v>97262</v>
      </c>
      <c r="AI21" s="16">
        <v>293595</v>
      </c>
      <c r="AJ21" s="20">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26" customFormat="1" x14ac:dyDescent="0.2">
      <c r="A23" s="11" t="s">
        <v>39</v>
      </c>
      <c r="B23" s="19">
        <v>844288</v>
      </c>
      <c r="C23" s="17">
        <v>370172</v>
      </c>
      <c r="D23" s="17">
        <v>65609</v>
      </c>
      <c r="E23" s="17">
        <v>333385</v>
      </c>
      <c r="F23" s="21">
        <v>256</v>
      </c>
      <c r="G23" s="19">
        <v>264935</v>
      </c>
      <c r="H23" s="17">
        <v>113924</v>
      </c>
      <c r="I23" s="17">
        <v>16154</v>
      </c>
      <c r="J23" s="17">
        <v>160422</v>
      </c>
      <c r="K23" s="21">
        <v>432</v>
      </c>
      <c r="L23" s="19">
        <v>88581</v>
      </c>
      <c r="M23" s="17">
        <v>38151</v>
      </c>
      <c r="N23" s="17">
        <v>12089</v>
      </c>
      <c r="O23" s="17">
        <v>32570</v>
      </c>
      <c r="P23" s="21">
        <v>2636</v>
      </c>
      <c r="Q23" s="19">
        <v>35420</v>
      </c>
      <c r="R23" s="17">
        <v>16004</v>
      </c>
      <c r="S23" s="17">
        <v>496</v>
      </c>
      <c r="T23" s="17">
        <v>21179</v>
      </c>
      <c r="U23" s="21">
        <v>4415</v>
      </c>
      <c r="V23" s="19">
        <v>277410</v>
      </c>
      <c r="W23" s="17">
        <v>123368</v>
      </c>
      <c r="X23" s="17">
        <v>7202</v>
      </c>
      <c r="Y23" s="17">
        <v>157205</v>
      </c>
      <c r="Z23" s="21">
        <v>474</v>
      </c>
      <c r="AA23" s="19">
        <v>38741</v>
      </c>
      <c r="AB23" s="17">
        <v>17387</v>
      </c>
      <c r="AC23" s="17">
        <v>292</v>
      </c>
      <c r="AD23" s="17">
        <v>21725.2137</v>
      </c>
      <c r="AE23" s="21">
        <v>8911.2000000000007</v>
      </c>
      <c r="AF23" s="19">
        <v>643543.66261999996</v>
      </c>
      <c r="AG23" s="17">
        <v>280641.61385276983</v>
      </c>
      <c r="AH23" s="17">
        <v>54625.432599999898</v>
      </c>
      <c r="AI23" s="17">
        <v>411666</v>
      </c>
      <c r="AJ23" s="21">
        <v>37556</v>
      </c>
    </row>
    <row r="24" spans="1:36" x14ac:dyDescent="0.2">
      <c r="A24" s="9" t="s">
        <v>40</v>
      </c>
      <c r="B24" s="18"/>
      <c r="C24" s="16"/>
      <c r="D24" s="16"/>
      <c r="E24" s="16"/>
      <c r="F24" s="20"/>
      <c r="G24" s="18"/>
      <c r="H24" s="16"/>
      <c r="I24" s="16"/>
      <c r="J24" s="16"/>
      <c r="K24" s="20"/>
      <c r="L24" s="18"/>
      <c r="M24" s="16"/>
      <c r="N24" s="16"/>
      <c r="O24" s="16"/>
      <c r="P24" s="20"/>
      <c r="Q24" s="18"/>
      <c r="R24" s="16"/>
      <c r="S24" s="16"/>
      <c r="T24" s="16"/>
      <c r="U24" s="20"/>
      <c r="V24" s="18"/>
      <c r="W24" s="16"/>
      <c r="X24" s="16"/>
      <c r="Y24" s="16"/>
      <c r="Z24" s="20"/>
      <c r="AA24" s="18"/>
      <c r="AB24" s="16"/>
      <c r="AC24" s="16"/>
      <c r="AD24" s="16"/>
      <c r="AE24" s="20"/>
      <c r="AF24" s="18"/>
      <c r="AG24" s="16"/>
      <c r="AH24" s="16"/>
      <c r="AI24" s="16"/>
      <c r="AJ24" s="20"/>
    </row>
    <row r="25" spans="1:36" x14ac:dyDescent="0.2">
      <c r="A25" s="9" t="s">
        <v>41</v>
      </c>
      <c r="B25" s="18"/>
      <c r="C25" s="16"/>
      <c r="D25" s="16"/>
      <c r="E25" s="16"/>
      <c r="F25" s="20"/>
      <c r="G25" s="18"/>
      <c r="H25" s="16"/>
      <c r="I25" s="16"/>
      <c r="J25" s="16"/>
      <c r="K25" s="20"/>
      <c r="L25" s="18"/>
      <c r="M25" s="16"/>
      <c r="N25" s="16"/>
      <c r="O25" s="16"/>
      <c r="P25" s="20"/>
      <c r="Q25" s="18"/>
      <c r="R25" s="16"/>
      <c r="S25" s="16"/>
      <c r="T25" s="16"/>
      <c r="U25" s="20"/>
      <c r="V25" s="18"/>
      <c r="W25" s="16"/>
      <c r="X25" s="16"/>
      <c r="Y25" s="16"/>
      <c r="Z25" s="20"/>
      <c r="AA25" s="18"/>
      <c r="AB25" s="16"/>
      <c r="AC25" s="16"/>
      <c r="AD25" s="16"/>
      <c r="AE25" s="20"/>
      <c r="AF25" s="18"/>
      <c r="AG25" s="16"/>
      <c r="AH25" s="16"/>
      <c r="AI25" s="16"/>
      <c r="AJ25" s="20"/>
    </row>
    <row r="26" spans="1:36" x14ac:dyDescent="0.2">
      <c r="A26" s="9" t="s">
        <v>42</v>
      </c>
      <c r="B26" s="18"/>
      <c r="C26" s="16"/>
      <c r="D26" s="16"/>
      <c r="E26" s="16"/>
      <c r="F26" s="20"/>
      <c r="G26" s="18"/>
      <c r="H26" s="16"/>
      <c r="I26" s="16"/>
      <c r="J26" s="16"/>
      <c r="K26" s="20"/>
      <c r="L26" s="18"/>
      <c r="M26" s="16"/>
      <c r="N26" s="16"/>
      <c r="O26" s="16"/>
      <c r="P26" s="20"/>
      <c r="Q26" s="18"/>
      <c r="R26" s="16"/>
      <c r="S26" s="16"/>
      <c r="T26" s="16"/>
      <c r="U26" s="20"/>
      <c r="V26" s="18"/>
      <c r="W26" s="16"/>
      <c r="X26" s="16"/>
      <c r="Y26" s="16"/>
      <c r="Z26" s="20"/>
      <c r="AA26" s="18"/>
      <c r="AB26" s="16"/>
      <c r="AC26" s="16"/>
      <c r="AD26" s="16"/>
      <c r="AE26" s="20"/>
      <c r="AF26" s="18"/>
      <c r="AG26" s="16"/>
      <c r="AH26" s="16"/>
      <c r="AI26" s="16"/>
      <c r="AJ26" s="20"/>
    </row>
    <row r="27" spans="1:36" x14ac:dyDescent="0.2">
      <c r="A27" s="9" t="s">
        <v>43</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abSelected="1" workbookViewId="0">
      <selection sqref="A1:G17"/>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JUNE 30 2018</v>
      </c>
      <c r="C3" s="33" t="s">
        <v>2</v>
      </c>
      <c r="D3" s="33" t="s">
        <v>3</v>
      </c>
      <c r="E3" s="4" t="s">
        <v>4</v>
      </c>
      <c r="F3" s="33" t="s">
        <v>5</v>
      </c>
      <c r="G3" s="4" t="s">
        <v>6</v>
      </c>
    </row>
    <row r="4" spans="1:7" ht="27.95" customHeight="1" x14ac:dyDescent="0.2">
      <c r="A4" s="47" t="s">
        <v>7</v>
      </c>
      <c r="B4" s="3">
        <f>INPUT!A3</f>
        <v>2018</v>
      </c>
      <c r="C4" s="34">
        <f>VLOOKUP(INPUT!$A$1,INPUT!$A$5:$AJ$51,2,FALSE)</f>
        <v>844288</v>
      </c>
      <c r="D4" s="34">
        <f>VLOOKUP(INPUT!$A$1,INPUT!$A$5:$AJ$51,3,FALSE)</f>
        <v>370172</v>
      </c>
      <c r="E4" s="25">
        <f>VLOOKUP(INPUT!$A$1,INPUT!$A$5:$AJ$51,4,FALSE)</f>
        <v>65609</v>
      </c>
      <c r="F4" s="34">
        <f>VLOOKUP(INPUT!$A$1,INPUT!$A$5:$AJ$51,5,FALSE)</f>
        <v>333385</v>
      </c>
      <c r="G4" s="23">
        <f>VLOOKUP(INPUT!$A$1,INPUT!$A$5:$AJ$51,6,FALSE)</f>
        <v>256</v>
      </c>
    </row>
    <row r="5" spans="1:7" ht="27.95" customHeight="1" x14ac:dyDescent="0.2">
      <c r="A5" s="48"/>
      <c r="B5" s="3">
        <f>INPUT!A4</f>
        <v>2017</v>
      </c>
      <c r="C5" s="34">
        <f>VLOOKUP(INPUT!$A$2,INPUT!$A$5:$AJ$51,2,FALSE)</f>
        <v>587802</v>
      </c>
      <c r="D5" s="34">
        <f>VLOOKUP(INPUT!$A$2,INPUT!$A$5:$AJ$51,3,FALSE)</f>
        <v>342098</v>
      </c>
      <c r="E5" s="25">
        <f>VLOOKUP(INPUT!$A$2,INPUT!$A$5:$AJ$51,4,FALSE)</f>
        <v>-26766</v>
      </c>
      <c r="F5" s="34">
        <f>VLOOKUP(INPUT!$A$2,INPUT!$A$5:$AJ$51,5,FALSE)</f>
        <v>201065</v>
      </c>
      <c r="G5" s="23">
        <f>VLOOKUP(INPUT!$A$2,INPUT!$A$5:$AJ$51,6,FALSE)</f>
        <v>112</v>
      </c>
    </row>
    <row r="6" spans="1:7" ht="27.95" customHeight="1" x14ac:dyDescent="0.2">
      <c r="A6" s="50" t="s">
        <v>19</v>
      </c>
      <c r="B6" s="3">
        <f>$B$4</f>
        <v>2018</v>
      </c>
      <c r="C6" s="34">
        <f>VLOOKUP(INPUT!$A$1,INPUT!$A$5:$AJ$51,7,FALSE)</f>
        <v>264935</v>
      </c>
      <c r="D6" s="34">
        <f>VLOOKUP(INPUT!$A$1,INPUT!$A$5:$AJ$51,8,FALSE)</f>
        <v>113924</v>
      </c>
      <c r="E6" s="25">
        <f>VLOOKUP(INPUT!$A$1,INPUT!$A$5:$AJ$51,9,FALSE)</f>
        <v>16154</v>
      </c>
      <c r="F6" s="34">
        <f>VLOOKUP(INPUT!$A$1,INPUT!$A$5:$AJ$51,10,FALSE)</f>
        <v>160422</v>
      </c>
      <c r="G6" s="23">
        <f>VLOOKUP(INPUT!$A$1,INPUT!$A$5:$AJ$51,11,FALSE)</f>
        <v>432</v>
      </c>
    </row>
    <row r="7" spans="1:7" ht="27.95" customHeight="1" x14ac:dyDescent="0.2">
      <c r="A7" s="51"/>
      <c r="B7" s="3">
        <f>$B$5</f>
        <v>2017</v>
      </c>
      <c r="C7" s="34">
        <f>VLOOKUP(INPUT!$A$2,INPUT!$A$5:$AJ$51,7,FALSE)</f>
        <v>194351</v>
      </c>
      <c r="D7" s="34">
        <f>VLOOKUP(INPUT!$A$2,INPUT!$A$5:$AJ$51,8,FALSE)</f>
        <v>113486</v>
      </c>
      <c r="E7" s="25">
        <f>VLOOKUP(INPUT!$A$2,INPUT!$A$5:$AJ$51,9,FALSE)</f>
        <v>-19017</v>
      </c>
      <c r="F7" s="34">
        <f>VLOOKUP(INPUT!$A$2,INPUT!$A$5:$AJ$51,10,FALSE)</f>
        <v>87674</v>
      </c>
      <c r="G7" s="23">
        <f>VLOOKUP(INPUT!$A$2,INPUT!$A$5:$AJ$51,11,FALSE)</f>
        <v>237</v>
      </c>
    </row>
    <row r="8" spans="1:7" ht="27.95" customHeight="1" x14ac:dyDescent="0.2">
      <c r="A8" s="47" t="s">
        <v>8</v>
      </c>
      <c r="B8" s="3">
        <f>$B$4</f>
        <v>2018</v>
      </c>
      <c r="C8" s="34">
        <f>VLOOKUP(INPUT!$A$1,INPUT!$A$5:$AJ$51,12,FALSE)</f>
        <v>88581</v>
      </c>
      <c r="D8" s="34">
        <f>VLOOKUP(INPUT!$A$1,INPUT!$A$5:$AJ$51,13,FALSE)</f>
        <v>38151</v>
      </c>
      <c r="E8" s="25">
        <f>VLOOKUP(INPUT!$A$1,INPUT!$A$5:$AJ$51,14,FALSE)</f>
        <v>12089</v>
      </c>
      <c r="F8" s="34">
        <f>VLOOKUP(INPUT!$A$1,INPUT!$A$5:$AJ$51,15,FALSE)</f>
        <v>32570</v>
      </c>
      <c r="G8" s="23">
        <f>VLOOKUP(INPUT!$A$1,INPUT!$A$5:$AJ$51,16,FALSE)</f>
        <v>2636</v>
      </c>
    </row>
    <row r="9" spans="1:7" ht="27.95" customHeight="1" x14ac:dyDescent="0.2">
      <c r="A9" s="48"/>
      <c r="B9" s="3">
        <f>$B$5</f>
        <v>2017</v>
      </c>
      <c r="C9" s="34">
        <f>VLOOKUP(INPUT!$A$2,INPUT!$A$5:$AJ$51,12,FALSE)</f>
        <v>63874</v>
      </c>
      <c r="D9" s="34">
        <f>VLOOKUP(INPUT!$A$2,INPUT!$A$5:$AJ$51,13,FALSE)</f>
        <v>36804</v>
      </c>
      <c r="E9" s="25">
        <f>VLOOKUP(INPUT!$A$2,INPUT!$A$5:$AJ$51,14,FALSE)</f>
        <v>2874</v>
      </c>
      <c r="F9" s="34">
        <f>VLOOKUP(INPUT!$A$2,INPUT!$A$5:$AJ$51,15,FALSE)</f>
        <v>15497</v>
      </c>
      <c r="G9" s="23">
        <f>VLOOKUP(INPUT!$A$2,INPUT!$A$5:$AJ$51,16,FALSE)</f>
        <v>778</v>
      </c>
    </row>
    <row r="10" spans="1:7" ht="27.95" customHeight="1" x14ac:dyDescent="0.2">
      <c r="A10" s="47" t="s">
        <v>9</v>
      </c>
      <c r="B10" s="3">
        <f>$B$4</f>
        <v>2018</v>
      </c>
      <c r="C10" s="34">
        <f>VLOOKUP(INPUT!$A$1,INPUT!$A$5:$AJ$51,17,FALSE)</f>
        <v>35420</v>
      </c>
      <c r="D10" s="34">
        <f>VLOOKUP(INPUT!$A$1,INPUT!$A$5:$AJ$51,18,FALSE)</f>
        <v>16004</v>
      </c>
      <c r="E10" s="25">
        <f>VLOOKUP(INPUT!$A$1,INPUT!$A$5:$AJ$51,19,FALSE)</f>
        <v>496</v>
      </c>
      <c r="F10" s="34">
        <f>VLOOKUP(INPUT!$A$1,INPUT!$A$5:$AJ$51,20,FALSE)</f>
        <v>21179</v>
      </c>
      <c r="G10" s="23">
        <f>VLOOKUP(INPUT!$A$1,INPUT!$A$5:$AJ$51,21,FALSE)</f>
        <v>4415</v>
      </c>
    </row>
    <row r="11" spans="1:7" ht="27.95" customHeight="1" x14ac:dyDescent="0.2">
      <c r="A11" s="48"/>
      <c r="B11" s="3">
        <f>$B$5</f>
        <v>2017</v>
      </c>
      <c r="C11" s="34">
        <f>VLOOKUP(INPUT!$A$2,INPUT!$A$5:$AJ$51,17,FALSE)</f>
        <v>30216</v>
      </c>
      <c r="D11" s="34">
        <f>VLOOKUP(INPUT!$A$2,INPUT!$A$5:$AJ$51,18,FALSE)</f>
        <v>18143</v>
      </c>
      <c r="E11" s="25">
        <f>VLOOKUP(INPUT!$A$2,INPUT!$A$5:$AJ$51,19,FALSE)</f>
        <v>672</v>
      </c>
      <c r="F11" s="34">
        <f>VLOOKUP(INPUT!$A$2,INPUT!$A$5:$AJ$51,20,FALSE)</f>
        <v>13272</v>
      </c>
      <c r="G11" s="23">
        <f>VLOOKUP(INPUT!$A$2,INPUT!$A$5:$AJ$51,21,FALSE)</f>
        <v>4299</v>
      </c>
    </row>
    <row r="12" spans="1:7" ht="27.95" customHeight="1" x14ac:dyDescent="0.2">
      <c r="A12" s="47" t="s">
        <v>10</v>
      </c>
      <c r="B12" s="3">
        <f>$B$4</f>
        <v>2018</v>
      </c>
      <c r="C12" s="34">
        <f>VLOOKUP(INPUT!$A$1,INPUT!$A$5:$AJ$51,22,FALSE)</f>
        <v>277410</v>
      </c>
      <c r="D12" s="34">
        <f>VLOOKUP(INPUT!$A$1,INPUT!$A$5:$AJ$51,23,FALSE)</f>
        <v>123368</v>
      </c>
      <c r="E12" s="25">
        <f>VLOOKUP(INPUT!$A$1,INPUT!$A$5:$AJ$51,24,FALSE)</f>
        <v>7202</v>
      </c>
      <c r="F12" s="34">
        <f>VLOOKUP(INPUT!$A$1,INPUT!$A$5:$AJ$51,25,FALSE)</f>
        <v>157205</v>
      </c>
      <c r="G12" s="23">
        <f>VLOOKUP(INPUT!$A$1,INPUT!$A$5:$AJ$51,26,FALSE)</f>
        <v>474</v>
      </c>
    </row>
    <row r="13" spans="1:7" ht="27.95" customHeight="1" x14ac:dyDescent="0.2">
      <c r="A13" s="48"/>
      <c r="B13" s="3">
        <f>$B$5</f>
        <v>2017</v>
      </c>
      <c r="C13" s="34">
        <f>VLOOKUP(INPUT!$A$2,INPUT!$A$5:$AJ$51,22,FALSE)</f>
        <v>194812</v>
      </c>
      <c r="D13" s="34">
        <f>VLOOKUP(INPUT!$A$2,INPUT!$A$5:$AJ$51,23,FALSE)</f>
        <v>118213</v>
      </c>
      <c r="E13" s="25">
        <f>VLOOKUP(INPUT!$A$2,INPUT!$A$5:$AJ$51,24,FALSE)</f>
        <v>-21873</v>
      </c>
      <c r="F13" s="34">
        <f>VLOOKUP(INPUT!$A$2,INPUT!$A$5:$AJ$51,25,FALSE)</f>
        <v>85041</v>
      </c>
      <c r="G13" s="23">
        <f>VLOOKUP(INPUT!$A$2,INPUT!$A$5:$AJ$51,26,FALSE)</f>
        <v>138</v>
      </c>
    </row>
    <row r="14" spans="1:7" ht="27.95" customHeight="1" x14ac:dyDescent="0.2">
      <c r="A14" s="47" t="s">
        <v>11</v>
      </c>
      <c r="B14" s="3">
        <f>$B$4</f>
        <v>2018</v>
      </c>
      <c r="C14" s="34">
        <f>VLOOKUP(INPUT!$A$1,INPUT!$A$5:$AJ$51,27,FALSE)</f>
        <v>38741</v>
      </c>
      <c r="D14" s="34">
        <f>VLOOKUP(INPUT!$A$1,INPUT!$A$5:$AJ$51,28,FALSE)</f>
        <v>17387</v>
      </c>
      <c r="E14" s="25">
        <f>VLOOKUP(INPUT!$A$1,INPUT!$A$5:$AJ$51,29,FALSE)</f>
        <v>292</v>
      </c>
      <c r="F14" s="34">
        <f>VLOOKUP(INPUT!$A$1,INPUT!$A$5:$AJ$51,30,FALSE)</f>
        <v>21725.2137</v>
      </c>
      <c r="G14" s="23">
        <f>VLOOKUP(INPUT!$A$1,INPUT!$A$5:$AJ$51,31,FALSE)</f>
        <v>8911.2000000000007</v>
      </c>
    </row>
    <row r="15" spans="1:7" ht="27.95" customHeight="1" x14ac:dyDescent="0.2">
      <c r="A15" s="48"/>
      <c r="B15" s="3">
        <f>$B$5</f>
        <v>2017</v>
      </c>
      <c r="C15" s="34">
        <f>VLOOKUP(INPUT!$A$2,INPUT!$A$5:$AJ$51,27,FALSE)</f>
        <v>28226</v>
      </c>
      <c r="D15" s="34">
        <f>VLOOKUP(INPUT!$A$2,INPUT!$A$5:$AJ$51,28,FALSE)</f>
        <v>16558.312000000002</v>
      </c>
      <c r="E15" s="25">
        <f>VLOOKUP(INPUT!$A$2,INPUT!$A$5:$AJ$51,29,FALSE)</f>
        <v>-481</v>
      </c>
      <c r="F15" s="34">
        <f>VLOOKUP(INPUT!$A$2,INPUT!$A$5:$AJ$51,30,FALSE)</f>
        <v>6110.69812</v>
      </c>
      <c r="G15" s="23">
        <f>VLOOKUP(INPUT!$A$2,INPUT!$A$5:$AJ$51,31,FALSE)</f>
        <v>1633.26424</v>
      </c>
    </row>
    <row r="16" spans="1:7" ht="27.95" customHeight="1" x14ac:dyDescent="0.2">
      <c r="A16" s="47" t="s">
        <v>12</v>
      </c>
      <c r="B16" s="3">
        <f>$B$4</f>
        <v>2018</v>
      </c>
      <c r="C16" s="34">
        <f>VLOOKUP(INPUT!$A$1,INPUT!$A$5:$AJ$51,32,FALSE)</f>
        <v>643543.66261999996</v>
      </c>
      <c r="D16" s="34">
        <f>VLOOKUP(INPUT!$A$1,INPUT!$A$5:$AJ$51,33,FALSE)</f>
        <v>280641.61385276983</v>
      </c>
      <c r="E16" s="25">
        <f>VLOOKUP(INPUT!$A$1,INPUT!$A$5:$AJ$51,34,FALSE)</f>
        <v>54625.432599999898</v>
      </c>
      <c r="F16" s="34">
        <f>VLOOKUP(INPUT!$A$1,INPUT!$A$5:$AJ$51,35,FALSE)</f>
        <v>411666</v>
      </c>
      <c r="G16" s="23">
        <f>VLOOKUP(INPUT!$A$1,INPUT!$A$5:$AJ$51,36,FALSE)</f>
        <v>37556</v>
      </c>
    </row>
    <row r="17" spans="1:7" ht="27.95" customHeight="1" x14ac:dyDescent="0.2">
      <c r="A17" s="48"/>
      <c r="B17" s="3">
        <f>$B$5</f>
        <v>2017</v>
      </c>
      <c r="C17" s="23">
        <f>VLOOKUP(INPUT!$A$2,INPUT!$A$5:$AJ$51,32,FALSE)</f>
        <v>433778</v>
      </c>
      <c r="D17" s="23">
        <f>VLOOKUP(INPUT!$A$2,INPUT!$A$5:$AJ$51,33,FALSE)</f>
        <v>257102</v>
      </c>
      <c r="E17" s="23">
        <f>VLOOKUP(INPUT!$A$2,INPUT!$A$5:$AJ$51,34,FALSE)</f>
        <v>-26402</v>
      </c>
      <c r="F17" s="23">
        <f>VLOOKUP(INPUT!$A$2,INPUT!$A$5:$AJ$51,35,FALSE)</f>
        <v>223893</v>
      </c>
      <c r="G17" s="23">
        <f>VLOOKUP(INPUT!$A$2,INPUT!$A$5:$AJ$51,36,FALSE)</f>
        <v>18954</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2018-08-03T15:25:02Z</cp:lastPrinted>
  <dcterms:created xsi:type="dcterms:W3CDTF">2013-02-13T08:02:04Z</dcterms:created>
  <dcterms:modified xsi:type="dcterms:W3CDTF">2018-08-03T15:28:00Z</dcterms:modified>
</cp:coreProperties>
</file>